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7170" activeTab="0"/>
  </bookViews>
  <sheets>
    <sheet name="Hydro" sheetId="1" r:id="rId1"/>
    <sheet name="Data Sources" sheetId="2" r:id="rId2"/>
    <sheet name="Sheet3" sheetId="3" r:id="rId3"/>
  </sheets>
  <definedNames>
    <definedName name="_xlnm.Print_Area" localSheetId="0">'Hydro'!$A$1:$N$71</definedName>
  </definedNames>
  <calcPr fullCalcOnLoad="1"/>
</workbook>
</file>

<file path=xl/sharedStrings.xml><?xml version="1.0" encoding="utf-8"?>
<sst xmlns="http://schemas.openxmlformats.org/spreadsheetml/2006/main" count="147" uniqueCount="137">
  <si>
    <t>Small Scale Hydro</t>
  </si>
  <si>
    <t xml:space="preserve">Power = </t>
  </si>
  <si>
    <t xml:space="preserve">Losses = </t>
  </si>
  <si>
    <t>η(trans) * η(turb) * η(gen)</t>
  </si>
  <si>
    <t>ρ * Q^3 *32 f *L /(π^2 *D^5)</t>
  </si>
  <si>
    <t>Inputs:</t>
  </si>
  <si>
    <t xml:space="preserve">g = </t>
  </si>
  <si>
    <t>kg/m3</t>
  </si>
  <si>
    <t>m/s2</t>
  </si>
  <si>
    <t>Calculations:</t>
  </si>
  <si>
    <t>η(tot) *ρ *g* Q *H</t>
  </si>
  <si>
    <t>η(tot) =</t>
  </si>
  <si>
    <t>Flow</t>
  </si>
  <si>
    <t>Demand</t>
  </si>
  <si>
    <t>IT power</t>
  </si>
  <si>
    <t>kW</t>
  </si>
  <si>
    <t>Fixed Infrastructure</t>
  </si>
  <si>
    <t>Cooling</t>
  </si>
  <si>
    <t>TOTAL</t>
  </si>
  <si>
    <t xml:space="preserve">Q*H = </t>
  </si>
  <si>
    <t>m4/s</t>
  </si>
  <si>
    <t>H</t>
  </si>
  <si>
    <t>m</t>
  </si>
  <si>
    <t>m3</t>
  </si>
  <si>
    <t>m-4</t>
  </si>
  <si>
    <t>L</t>
  </si>
  <si>
    <t>D</t>
  </si>
  <si>
    <t>L/D^5 =</t>
  </si>
  <si>
    <t xml:space="preserve"> = Z</t>
  </si>
  <si>
    <t>L/ Z</t>
  </si>
  <si>
    <t xml:space="preserve">mm </t>
  </si>
  <si>
    <t>Pipe friction coefficient</t>
  </si>
  <si>
    <t>Re</t>
  </si>
  <si>
    <t>ρ at 15C=</t>
  </si>
  <si>
    <t>kg/ms</t>
  </si>
  <si>
    <t>Re =</t>
  </si>
  <si>
    <t>ξ υ</t>
  </si>
  <si>
    <t>Pipe roughness ξ:</t>
  </si>
  <si>
    <t>Pipe diameter D:</t>
  </si>
  <si>
    <t>ξ / D =</t>
  </si>
  <si>
    <t>ξ / D</t>
  </si>
  <si>
    <t xml:space="preserve"> u*D /  υ</t>
  </si>
  <si>
    <t xml:space="preserve"> = 4*Q / π *D *υ</t>
  </si>
  <si>
    <t>PVC</t>
  </si>
  <si>
    <t>Asbestos cement</t>
  </si>
  <si>
    <t>New steel</t>
  </si>
  <si>
    <t>Smooth concrete</t>
  </si>
  <si>
    <t xml:space="preserve"> =(1- η(trans))* ρ *g* Q *H</t>
  </si>
  <si>
    <t xml:space="preserve"> (1- η(trans))* g*H * π^2 / (32 f * Q^2)</t>
  </si>
  <si>
    <t>Reynolds No:</t>
  </si>
  <si>
    <t>Pipe friction coefficient is a function of relative roughness (ξ/D) &amp; Re</t>
  </si>
  <si>
    <t>Generation efficincy  η(gen) =</t>
  </si>
  <si>
    <t>Turbine efficiency  η(turb) =</t>
  </si>
  <si>
    <t>Transmission efficiency  η(trans) =</t>
  </si>
  <si>
    <t>Friction coefficient (start) f =</t>
  </si>
  <si>
    <t>Calculation Basis:</t>
  </si>
  <si>
    <t>Material:</t>
  </si>
  <si>
    <t>Efficiency η(tot) =</t>
  </si>
  <si>
    <t>kinematic viscosity at 15C  υ =</t>
  </si>
  <si>
    <t xml:space="preserve">Z </t>
  </si>
  <si>
    <t>Q = flow rate;     H = head;    L = length of pipe from head to turbine;  D= pipe diameter</t>
  </si>
  <si>
    <t xml:space="preserve"> For turbulent flow, Re&gt;10^6</t>
  </si>
  <si>
    <t xml:space="preserve"> ξ (mm)</t>
  </si>
  <si>
    <t>ξ/D</t>
  </si>
  <si>
    <t>f</t>
  </si>
  <si>
    <t>steel</t>
  </si>
  <si>
    <t>check for f - reset if necc</t>
  </si>
  <si>
    <t>necc</t>
  </si>
  <si>
    <t>Comments</t>
  </si>
  <si>
    <t>the pipe diamater may be estimated as follows:</t>
  </si>
  <si>
    <t>Pipe roughness (1)</t>
  </si>
  <si>
    <t>Friction coefficient (1)</t>
  </si>
  <si>
    <t>(1)</t>
  </si>
  <si>
    <t>Dat Sources</t>
  </si>
  <si>
    <t xml:space="preserve"> (2)</t>
  </si>
  <si>
    <t>Twidell, J; Weir, T: Renewable Energy Resources, 2nd ed, Taylor &amp; Francis (2006), pg 38</t>
  </si>
  <si>
    <t>Scottish Hydropower Resource Study Final Report 2008; For Scottish Government by Nick Forrest Associates /SIS Tech/ Black &amp; Veatch; 26th August 2008</t>
  </si>
  <si>
    <t>1) First step is to find a site that has the required combination of head and flow rate</t>
  </si>
  <si>
    <t xml:space="preserve">A comprehensive estimate of potential sites and their power in each catchment area has been estimated in Reference (2) </t>
  </si>
  <si>
    <t>From Scottish Hydrowpoer Resource Study (Source (2)) Appendix 4</t>
  </si>
  <si>
    <t>Area</t>
  </si>
  <si>
    <t>Total no of schemes</t>
  </si>
  <si>
    <t>E Caithness</t>
  </si>
  <si>
    <t>N Caithness</t>
  </si>
  <si>
    <t>E Sutherland</t>
  </si>
  <si>
    <t>N Sutherland</t>
  </si>
  <si>
    <t>Shetland</t>
  </si>
  <si>
    <t>Orkney</t>
  </si>
  <si>
    <t>W Ross</t>
  </si>
  <si>
    <t>E Ross</t>
  </si>
  <si>
    <t>NW Coastal</t>
  </si>
  <si>
    <t>L Shin / Dornoch</t>
  </si>
  <si>
    <t>Catchment area ref</t>
  </si>
  <si>
    <t>Loch Ness</t>
  </si>
  <si>
    <t>Skye</t>
  </si>
  <si>
    <t>Lewis&amp; Harrris</t>
  </si>
  <si>
    <t>Uists</t>
  </si>
  <si>
    <t>Kintail</t>
  </si>
  <si>
    <t>No. Financially viable on grid</t>
  </si>
  <si>
    <t>Total power potential MW</t>
  </si>
  <si>
    <t>Inverness and West</t>
  </si>
  <si>
    <t>Conclusions</t>
  </si>
  <si>
    <t>Mechanical Availability</t>
  </si>
  <si>
    <t>Hydroelectric equipment is robust and maintenance intervals are 5years +</t>
  </si>
  <si>
    <t>weeks</t>
  </si>
  <si>
    <t>years</t>
  </si>
  <si>
    <t>Maintenance period can be low if replacement parts are available</t>
  </si>
  <si>
    <t>Availability = 1 - (maintenance period)/(maintenance interval)</t>
  </si>
  <si>
    <t>Tier 1 availability</t>
  </si>
  <si>
    <t xml:space="preserve">days per year </t>
  </si>
  <si>
    <t>Standby generation still required, on average</t>
  </si>
  <si>
    <t>However, planned maintenance intervals may be fitted in with planned replacement of IT equipment</t>
  </si>
  <si>
    <t>Availability of Resource</t>
  </si>
  <si>
    <t xml:space="preserve">If sufficient resoucre is available within reasonable distance of the data centre, </t>
  </si>
  <si>
    <t>and relatively modest cost</t>
  </si>
  <si>
    <t>If the plant is not conencted to the grid, it may still be finacially viable for this purpose</t>
  </si>
  <si>
    <t>this is a good soucre of power as it is constant power. simple technology, high availability</t>
  </si>
  <si>
    <t xml:space="preserve"> (3)</t>
  </si>
  <si>
    <t>Nick Forrest Associates:  http://www.nickforrestassoc.co.uk/</t>
  </si>
  <si>
    <t>Specifics of where indivudal potential schemes are located resoucre are commercially available from (3):</t>
  </si>
  <si>
    <r>
      <t>Hydrobot</t>
    </r>
    <r>
      <rPr>
        <sz val="12"/>
        <color indexed="8"/>
        <rFont val="Arial"/>
        <family val="2"/>
      </rPr>
      <t xml:space="preserve">® model </t>
    </r>
  </si>
  <si>
    <t>Calculator for head and flow rate combinations, together with pipe length &amp; diameter</t>
  </si>
  <si>
    <t>100kW-500kW</t>
  </si>
  <si>
    <t>Power band</t>
  </si>
  <si>
    <t>no of  schemes</t>
  </si>
  <si>
    <t>Total power MW</t>
  </si>
  <si>
    <t>500kW - 1MW</t>
  </si>
  <si>
    <t>1MW - 5 MW</t>
  </si>
  <si>
    <t>Total sites in Scotland (Source (2), pg 22)</t>
  </si>
  <si>
    <t>Unlikely to be scalable at specific location</t>
  </si>
  <si>
    <t>Example</t>
  </si>
  <si>
    <t>2) Actual flow rate of catchment area must be enough to leave at least 5% of the flow untouched</t>
  </si>
  <si>
    <t>Qact</t>
  </si>
  <si>
    <t>Actual min flow</t>
  </si>
  <si>
    <t xml:space="preserve"> % water unused at min flow period:</t>
  </si>
  <si>
    <t xml:space="preserve"> / H    m3/sec</t>
  </si>
  <si>
    <t xml:space="preserve">3) Having found a site at a given H and Q, estimate the length of pipe L needed from source to turbine site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</si>
</sst>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  <numFmt numFmtId="175" formatCode="0.000%"/>
    <numFmt numFmtId="176" formatCode="0.0000%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5" borderId="10" xfId="0" applyFont="1" applyFill="1" applyBorder="1" applyAlignment="1">
      <alignment/>
    </xf>
    <xf numFmtId="0" fontId="20" fillId="5" borderId="11" xfId="0" applyFont="1" applyFill="1" applyBorder="1" applyAlignment="1">
      <alignment/>
    </xf>
    <xf numFmtId="0" fontId="20" fillId="5" borderId="12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20" fillId="5" borderId="13" xfId="0" applyFont="1" applyFill="1" applyBorder="1" applyAlignment="1">
      <alignment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right"/>
    </xf>
    <xf numFmtId="2" fontId="20" fillId="5" borderId="0" xfId="0" applyNumberFormat="1" applyFont="1" applyFill="1" applyBorder="1" applyAlignment="1">
      <alignment/>
    </xf>
    <xf numFmtId="0" fontId="20" fillId="5" borderId="14" xfId="0" applyFont="1" applyFill="1" applyBorder="1" applyAlignment="1">
      <alignment/>
    </xf>
    <xf numFmtId="0" fontId="20" fillId="5" borderId="15" xfId="0" applyFont="1" applyFill="1" applyBorder="1" applyAlignment="1">
      <alignment/>
    </xf>
    <xf numFmtId="0" fontId="20" fillId="5" borderId="16" xfId="0" applyFont="1" applyFill="1" applyBorder="1" applyAlignment="1">
      <alignment/>
    </xf>
    <xf numFmtId="0" fontId="20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/>
    </xf>
    <xf numFmtId="2" fontId="20" fillId="0" borderId="11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1" fontId="20" fillId="0" borderId="17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0" fontId="20" fillId="0" borderId="13" xfId="0" applyFont="1" applyBorder="1" applyAlignment="1">
      <alignment/>
    </xf>
    <xf numFmtId="2" fontId="20" fillId="0" borderId="13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1" fontId="20" fillId="0" borderId="12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0" fontId="20" fillId="0" borderId="14" xfId="0" applyFont="1" applyBorder="1" applyAlignment="1">
      <alignment/>
    </xf>
    <xf numFmtId="2" fontId="20" fillId="0" borderId="16" xfId="0" applyNumberFormat="1" applyFont="1" applyBorder="1" applyAlignment="1">
      <alignment/>
    </xf>
    <xf numFmtId="2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164" fontId="20" fillId="0" borderId="15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66" fontId="20" fillId="0" borderId="15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17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right"/>
    </xf>
    <xf numFmtId="0" fontId="20" fillId="24" borderId="14" xfId="0" applyFont="1" applyFill="1" applyBorder="1" applyAlignment="1">
      <alignment/>
    </xf>
    <xf numFmtId="0" fontId="20" fillId="24" borderId="15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17" xfId="0" applyFont="1" applyBorder="1" applyAlignment="1">
      <alignment horizontal="center" vertical="top" wrapText="1"/>
    </xf>
    <xf numFmtId="2" fontId="20" fillId="0" borderId="11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1" fontId="20" fillId="0" borderId="17" xfId="0" applyNumberFormat="1" applyFont="1" applyFill="1" applyBorder="1" applyAlignment="1">
      <alignment/>
    </xf>
    <xf numFmtId="166" fontId="20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9" fillId="0" borderId="17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1" fontId="20" fillId="0" borderId="14" xfId="0" applyNumberFormat="1" applyFont="1" applyFill="1" applyBorder="1" applyAlignment="1">
      <alignment/>
    </xf>
    <xf numFmtId="166" fontId="20" fillId="0" borderId="15" xfId="0" applyNumberFormat="1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21" fillId="5" borderId="17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left" vertical="top"/>
    </xf>
    <xf numFmtId="0" fontId="19" fillId="24" borderId="1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167" fontId="20" fillId="24" borderId="0" xfId="0" applyNumberFormat="1" applyFont="1" applyFill="1" applyBorder="1" applyAlignment="1">
      <alignment/>
    </xf>
    <xf numFmtId="165" fontId="20" fillId="24" borderId="0" xfId="0" applyNumberFormat="1" applyFont="1" applyFill="1" applyBorder="1" applyAlignment="1">
      <alignment/>
    </xf>
    <xf numFmtId="168" fontId="20" fillId="5" borderId="0" xfId="0" applyNumberFormat="1" applyFont="1" applyFill="1" applyBorder="1" applyAlignment="1">
      <alignment/>
    </xf>
    <xf numFmtId="0" fontId="19" fillId="0" borderId="17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22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/>
    </xf>
    <xf numFmtId="175" fontId="20" fillId="24" borderId="0" xfId="57" applyNumberFormat="1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24" borderId="12" xfId="0" applyFont="1" applyFill="1" applyBorder="1" applyAlignment="1">
      <alignment/>
    </xf>
    <xf numFmtId="175" fontId="20" fillId="5" borderId="0" xfId="57" applyNumberFormat="1" applyFont="1" applyFill="1" applyBorder="1" applyAlignment="1">
      <alignment/>
    </xf>
    <xf numFmtId="167" fontId="20" fillId="5" borderId="0" xfId="57" applyNumberFormat="1" applyFont="1" applyFill="1" applyBorder="1" applyAlignment="1">
      <alignment/>
    </xf>
    <xf numFmtId="0" fontId="21" fillId="5" borderId="12" xfId="0" applyFont="1" applyFill="1" applyBorder="1" applyAlignment="1">
      <alignment/>
    </xf>
    <xf numFmtId="0" fontId="21" fillId="5" borderId="14" xfId="0" applyFont="1" applyFill="1" applyBorder="1" applyAlignment="1">
      <alignment/>
    </xf>
    <xf numFmtId="175" fontId="20" fillId="5" borderId="15" xfId="57" applyNumberFormat="1" applyFont="1" applyFill="1" applyBorder="1" applyAlignment="1">
      <alignment/>
    </xf>
    <xf numFmtId="0" fontId="21" fillId="22" borderId="17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2" borderId="12" xfId="0" applyFont="1" applyFill="1" applyBorder="1" applyAlignment="1">
      <alignment/>
    </xf>
    <xf numFmtId="0" fontId="20" fillId="22" borderId="0" xfId="0" applyFont="1" applyFill="1" applyBorder="1" applyAlignment="1">
      <alignment/>
    </xf>
    <xf numFmtId="0" fontId="20" fillId="22" borderId="13" xfId="0" applyFont="1" applyFill="1" applyBorder="1" applyAlignment="1">
      <alignment/>
    </xf>
    <xf numFmtId="0" fontId="20" fillId="22" borderId="14" xfId="0" applyFont="1" applyFill="1" applyBorder="1" applyAlignment="1">
      <alignment/>
    </xf>
    <xf numFmtId="0" fontId="20" fillId="22" borderId="15" xfId="0" applyFont="1" applyFill="1" applyBorder="1" applyAlignment="1">
      <alignment/>
    </xf>
    <xf numFmtId="0" fontId="20" fillId="22" borderId="16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10" borderId="12" xfId="0" applyFont="1" applyFill="1" applyBorder="1" applyAlignment="1">
      <alignment/>
    </xf>
    <xf numFmtId="2" fontId="20" fillId="10" borderId="13" xfId="0" applyNumberFormat="1" applyFont="1" applyFill="1" applyBorder="1" applyAlignment="1">
      <alignment/>
    </xf>
    <xf numFmtId="2" fontId="20" fillId="10" borderId="0" xfId="0" applyNumberFormat="1" applyFont="1" applyFill="1" applyBorder="1" applyAlignment="1">
      <alignment/>
    </xf>
    <xf numFmtId="0" fontId="20" fillId="10" borderId="0" xfId="0" applyFont="1" applyFill="1" applyBorder="1" applyAlignment="1">
      <alignment/>
    </xf>
    <xf numFmtId="164" fontId="20" fillId="10" borderId="0" xfId="0" applyNumberFormat="1" applyFont="1" applyFill="1" applyBorder="1" applyAlignment="1">
      <alignment/>
    </xf>
    <xf numFmtId="1" fontId="20" fillId="10" borderId="12" xfId="0" applyNumberFormat="1" applyFont="1" applyFill="1" applyBorder="1" applyAlignment="1">
      <alignment/>
    </xf>
    <xf numFmtId="166" fontId="20" fillId="10" borderId="0" xfId="0" applyNumberFormat="1" applyFont="1" applyFill="1" applyBorder="1" applyAlignment="1">
      <alignment/>
    </xf>
    <xf numFmtId="0" fontId="20" fillId="10" borderId="13" xfId="0" applyFont="1" applyFill="1" applyBorder="1" applyAlignment="1">
      <alignment/>
    </xf>
    <xf numFmtId="0" fontId="20" fillId="24" borderId="15" xfId="0" applyFont="1" applyFill="1" applyBorder="1" applyAlignment="1">
      <alignment horizontal="right"/>
    </xf>
    <xf numFmtId="9" fontId="20" fillId="24" borderId="15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tabSelected="1" zoomScalePageLayoutView="0" workbookViewId="0" topLeftCell="A6">
      <selection activeCell="D25" sqref="D25"/>
    </sheetView>
  </sheetViews>
  <sheetFormatPr defaultColWidth="9.140625" defaultRowHeight="15"/>
  <cols>
    <col min="1" max="7" width="9.421875" style="3" customWidth="1"/>
    <col min="8" max="8" width="9.7109375" style="3" customWidth="1"/>
    <col min="9" max="12" width="9.421875" style="3" customWidth="1"/>
    <col min="13" max="16384" width="9.00390625" style="3" customWidth="1"/>
  </cols>
  <sheetData>
    <row r="1" spans="1:17" ht="18">
      <c r="A1" s="1" t="s">
        <v>0</v>
      </c>
      <c r="Q1" s="3" t="s">
        <v>36</v>
      </c>
    </row>
    <row r="2" ht="18">
      <c r="A2" s="1"/>
    </row>
    <row r="3" spans="1:17" ht="15">
      <c r="A3" s="90" t="s">
        <v>55</v>
      </c>
      <c r="Q3" s="3" t="s">
        <v>36</v>
      </c>
    </row>
    <row r="4" ht="12.75">
      <c r="A4" s="3" t="s">
        <v>77</v>
      </c>
    </row>
    <row r="5" ht="12.75">
      <c r="B5" s="3" t="s">
        <v>78</v>
      </c>
    </row>
    <row r="6" spans="1:2" ht="12.75">
      <c r="A6" s="2"/>
      <c r="B6" s="3" t="s">
        <v>60</v>
      </c>
    </row>
    <row r="7" spans="2:3" ht="12.75">
      <c r="B7" s="4" t="s">
        <v>1</v>
      </c>
      <c r="C7" s="3" t="s">
        <v>10</v>
      </c>
    </row>
    <row r="8" spans="2:14" ht="12.75">
      <c r="B8" s="4" t="s">
        <v>57</v>
      </c>
      <c r="C8" s="3" t="s">
        <v>3</v>
      </c>
      <c r="I8" s="76" t="s">
        <v>70</v>
      </c>
      <c r="J8" s="46"/>
      <c r="K8" s="77"/>
      <c r="L8" s="78" t="s">
        <v>71</v>
      </c>
      <c r="M8" s="25"/>
      <c r="N8" s="79"/>
    </row>
    <row r="9" spans="2:14" ht="12.75">
      <c r="B9" s="4" t="s">
        <v>2</v>
      </c>
      <c r="C9" s="3" t="s">
        <v>4</v>
      </c>
      <c r="E9" s="3" t="s">
        <v>47</v>
      </c>
      <c r="I9" s="22"/>
      <c r="J9" s="32"/>
      <c r="K9" s="32" t="s">
        <v>62</v>
      </c>
      <c r="L9" s="22" t="s">
        <v>61</v>
      </c>
      <c r="M9" s="32"/>
      <c r="N9" s="29"/>
    </row>
    <row r="10" spans="2:14" ht="12.75">
      <c r="B10" s="4"/>
      <c r="I10" s="22"/>
      <c r="J10" s="45" t="s">
        <v>43</v>
      </c>
      <c r="K10" s="33">
        <v>0</v>
      </c>
      <c r="L10" s="80" t="s">
        <v>63</v>
      </c>
      <c r="M10" s="81" t="s">
        <v>64</v>
      </c>
      <c r="N10" s="29"/>
    </row>
    <row r="11" spans="1:14" ht="12.75">
      <c r="A11" s="3" t="s">
        <v>131</v>
      </c>
      <c r="I11" s="22"/>
      <c r="J11" s="45" t="s">
        <v>44</v>
      </c>
      <c r="K11" s="33">
        <v>0.012</v>
      </c>
      <c r="L11" s="22">
        <v>0.0001</v>
      </c>
      <c r="M11" s="32">
        <v>0.0027</v>
      </c>
      <c r="N11" s="29"/>
    </row>
    <row r="12" spans="9:14" ht="12.75">
      <c r="I12" s="22"/>
      <c r="J12" s="45" t="s">
        <v>45</v>
      </c>
      <c r="K12" s="33">
        <v>0.1</v>
      </c>
      <c r="L12" s="22">
        <v>0.0004</v>
      </c>
      <c r="M12" s="32">
        <v>0.004</v>
      </c>
      <c r="N12" s="29"/>
    </row>
    <row r="13" spans="1:14" ht="12.75">
      <c r="A13" s="3" t="s">
        <v>136</v>
      </c>
      <c r="I13" s="22"/>
      <c r="J13" s="45" t="s">
        <v>46</v>
      </c>
      <c r="K13" s="33">
        <v>0.4</v>
      </c>
      <c r="L13" s="22">
        <v>0.001</v>
      </c>
      <c r="M13" s="32">
        <v>0.0049</v>
      </c>
      <c r="N13" s="29"/>
    </row>
    <row r="14" spans="2:14" ht="12.75">
      <c r="B14" s="3" t="s">
        <v>69</v>
      </c>
      <c r="I14" s="22"/>
      <c r="J14" s="32"/>
      <c r="K14" s="32"/>
      <c r="L14" s="22">
        <v>0.004</v>
      </c>
      <c r="M14" s="32">
        <v>0.007</v>
      </c>
      <c r="N14" s="29"/>
    </row>
    <row r="15" spans="9:14" ht="12.75">
      <c r="I15" s="36"/>
      <c r="J15" s="39"/>
      <c r="K15" s="39"/>
      <c r="L15" s="22">
        <v>0.01</v>
      </c>
      <c r="M15" s="32">
        <v>0.009</v>
      </c>
      <c r="N15" s="29"/>
    </row>
    <row r="16" spans="2:14" ht="12.75">
      <c r="B16" s="5" t="s">
        <v>27</v>
      </c>
      <c r="C16" s="3" t="s">
        <v>48</v>
      </c>
      <c r="F16" s="3" t="s">
        <v>28</v>
      </c>
      <c r="L16" s="22">
        <v>0.02</v>
      </c>
      <c r="M16" s="32">
        <v>0.012</v>
      </c>
      <c r="N16" s="29"/>
    </row>
    <row r="17" spans="2:14" ht="12.75">
      <c r="B17" s="4" t="s">
        <v>49</v>
      </c>
      <c r="C17" s="3" t="s">
        <v>35</v>
      </c>
      <c r="D17" s="3" t="s">
        <v>41</v>
      </c>
      <c r="E17" s="3" t="s">
        <v>42</v>
      </c>
      <c r="L17" s="36">
        <v>0.04</v>
      </c>
      <c r="M17" s="39">
        <v>0.017</v>
      </c>
      <c r="N17" s="43"/>
    </row>
    <row r="18" spans="2:14" ht="12.75">
      <c r="B18" s="3" t="s">
        <v>50</v>
      </c>
      <c r="L18" s="32"/>
      <c r="M18" s="32"/>
      <c r="N18" s="32"/>
    </row>
    <row r="20" spans="1:14" ht="15">
      <c r="A20" s="88" t="s">
        <v>5</v>
      </c>
      <c r="B20" s="92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12.75">
      <c r="A21" s="53"/>
      <c r="B21" s="51"/>
      <c r="C21" s="93" t="s">
        <v>12</v>
      </c>
      <c r="D21" s="51"/>
      <c r="E21" s="51"/>
      <c r="F21" s="51"/>
      <c r="G21" s="93" t="s">
        <v>13</v>
      </c>
      <c r="H21" s="51"/>
      <c r="I21" s="51"/>
      <c r="J21" s="51"/>
      <c r="K21" s="93" t="s">
        <v>31</v>
      </c>
      <c r="L21" s="51"/>
      <c r="M21" s="51"/>
      <c r="N21" s="52"/>
    </row>
    <row r="22" spans="1:14" ht="12.75">
      <c r="A22" s="53"/>
      <c r="B22" s="51"/>
      <c r="C22" s="56" t="s">
        <v>33</v>
      </c>
      <c r="D22" s="94">
        <f>1/0.001001</f>
        <v>999.0009990009991</v>
      </c>
      <c r="E22" s="51" t="s">
        <v>7</v>
      </c>
      <c r="F22" s="51"/>
      <c r="G22" s="56" t="s">
        <v>14</v>
      </c>
      <c r="H22" s="55">
        <v>1</v>
      </c>
      <c r="I22" s="51">
        <v>250</v>
      </c>
      <c r="J22" s="51" t="s">
        <v>15</v>
      </c>
      <c r="K22" s="51"/>
      <c r="L22" s="56" t="s">
        <v>56</v>
      </c>
      <c r="M22" s="54" t="s">
        <v>65</v>
      </c>
      <c r="N22" s="52"/>
    </row>
    <row r="23" spans="1:14" ht="12.75">
      <c r="A23" s="53"/>
      <c r="B23" s="51"/>
      <c r="C23" s="56" t="s">
        <v>6</v>
      </c>
      <c r="D23" s="51">
        <v>9.81</v>
      </c>
      <c r="E23" s="51" t="s">
        <v>8</v>
      </c>
      <c r="F23" s="51"/>
      <c r="G23" s="56" t="s">
        <v>16</v>
      </c>
      <c r="H23" s="51">
        <v>0.25</v>
      </c>
      <c r="I23" s="51">
        <f>H23*I22</f>
        <v>62.5</v>
      </c>
      <c r="J23" s="51" t="s">
        <v>15</v>
      </c>
      <c r="K23" s="51"/>
      <c r="L23" s="56" t="s">
        <v>37</v>
      </c>
      <c r="M23" s="55">
        <v>0.1</v>
      </c>
      <c r="N23" s="52" t="s">
        <v>30</v>
      </c>
    </row>
    <row r="24" spans="1:14" ht="12.75">
      <c r="A24" s="53"/>
      <c r="B24" s="51"/>
      <c r="C24" s="56" t="s">
        <v>53</v>
      </c>
      <c r="D24" s="55">
        <v>0.85</v>
      </c>
      <c r="E24" s="51"/>
      <c r="F24" s="51"/>
      <c r="G24" s="56" t="s">
        <v>17</v>
      </c>
      <c r="H24" s="51">
        <v>0.03</v>
      </c>
      <c r="I24" s="51">
        <f>H24*I22</f>
        <v>7.5</v>
      </c>
      <c r="J24" s="51" t="s">
        <v>15</v>
      </c>
      <c r="K24" s="51"/>
      <c r="L24" s="56" t="s">
        <v>38</v>
      </c>
      <c r="M24" s="94">
        <v>1</v>
      </c>
      <c r="N24" s="52" t="s">
        <v>22</v>
      </c>
    </row>
    <row r="25" spans="1:14" ht="12.75">
      <c r="A25" s="53"/>
      <c r="B25" s="51"/>
      <c r="C25" s="56" t="s">
        <v>52</v>
      </c>
      <c r="D25" s="55">
        <v>0.8</v>
      </c>
      <c r="E25" s="51"/>
      <c r="F25" s="51"/>
      <c r="G25" s="56" t="s">
        <v>18</v>
      </c>
      <c r="H25" s="55">
        <f>SUM(H22:H24)</f>
        <v>1.28</v>
      </c>
      <c r="I25" s="51">
        <f>SUM(I22:I24)</f>
        <v>320</v>
      </c>
      <c r="J25" s="51" t="s">
        <v>15</v>
      </c>
      <c r="K25" s="51"/>
      <c r="L25" s="56" t="s">
        <v>39</v>
      </c>
      <c r="M25" s="51">
        <f>M23/(M24*1000)</f>
        <v>0.0001</v>
      </c>
      <c r="N25" s="52"/>
    </row>
    <row r="26" spans="1:14" ht="12" customHeight="1">
      <c r="A26" s="53"/>
      <c r="B26" s="51"/>
      <c r="C26" s="56" t="s">
        <v>51</v>
      </c>
      <c r="D26" s="55">
        <v>0.95</v>
      </c>
      <c r="E26" s="51"/>
      <c r="F26" s="51"/>
      <c r="G26" s="55" t="s">
        <v>108</v>
      </c>
      <c r="H26" s="47"/>
      <c r="I26" s="111">
        <v>0.99671</v>
      </c>
      <c r="J26" s="51"/>
      <c r="K26" s="51"/>
      <c r="L26" s="51"/>
      <c r="M26" s="51"/>
      <c r="N26" s="52"/>
    </row>
    <row r="27" spans="1:14" ht="12.75">
      <c r="A27" s="53"/>
      <c r="B27" s="51"/>
      <c r="C27" s="56" t="s">
        <v>54</v>
      </c>
      <c r="D27" s="95">
        <v>0.003</v>
      </c>
      <c r="E27" s="51"/>
      <c r="F27" s="51"/>
      <c r="G27" s="51"/>
      <c r="H27" s="51"/>
      <c r="I27" s="51"/>
      <c r="J27" s="51"/>
      <c r="K27" s="51"/>
      <c r="L27" s="51"/>
      <c r="M27" s="51"/>
      <c r="N27" s="52"/>
    </row>
    <row r="28" spans="1:14" ht="12.75">
      <c r="A28" s="57"/>
      <c r="B28" s="58"/>
      <c r="C28" s="138" t="s">
        <v>134</v>
      </c>
      <c r="D28" s="139">
        <v>0.05</v>
      </c>
      <c r="E28" s="58"/>
      <c r="F28" s="51"/>
      <c r="G28" s="58"/>
      <c r="H28" s="58"/>
      <c r="I28" s="58"/>
      <c r="J28" s="58"/>
      <c r="K28" s="51"/>
      <c r="L28" s="58"/>
      <c r="M28" s="58"/>
      <c r="N28" s="59"/>
    </row>
    <row r="29" spans="1:12" ht="15">
      <c r="A29" s="89" t="s">
        <v>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12.75">
      <c r="A31" s="8"/>
      <c r="B31" s="9"/>
      <c r="C31" s="11" t="s">
        <v>11</v>
      </c>
      <c r="D31" s="13">
        <f>D24*D25*D26</f>
        <v>0.646</v>
      </c>
      <c r="E31" s="9"/>
      <c r="F31" s="9"/>
      <c r="G31" s="9"/>
      <c r="H31" s="12" t="s">
        <v>19</v>
      </c>
      <c r="I31" s="13">
        <f>I25*1000/(D23*D22*D31)</f>
        <v>50.54550389284959</v>
      </c>
      <c r="J31" s="9" t="s">
        <v>20</v>
      </c>
      <c r="K31" s="9"/>
      <c r="L31" s="10"/>
    </row>
    <row r="32" spans="1:14" s="61" customFormat="1" ht="12.75">
      <c r="A32" s="8"/>
      <c r="B32" s="9"/>
      <c r="C32" s="12" t="s">
        <v>58</v>
      </c>
      <c r="D32" s="96">
        <f>1136/(1000000*D22)</f>
        <v>1.1371359999999998E-06</v>
      </c>
      <c r="E32" s="9" t="s">
        <v>34</v>
      </c>
      <c r="F32" s="9"/>
      <c r="G32" s="12" t="s">
        <v>133</v>
      </c>
      <c r="H32" s="12" t="s">
        <v>132</v>
      </c>
      <c r="I32" s="13">
        <f>I25*1000/(D23*D22*D31)*(1+D28)</f>
        <v>53.07277908749207</v>
      </c>
      <c r="J32" s="9" t="s">
        <v>135</v>
      </c>
      <c r="K32" s="9"/>
      <c r="L32" s="10"/>
      <c r="M32" s="3"/>
      <c r="N32" s="3"/>
    </row>
    <row r="33" spans="1:14" s="17" customFormat="1" ht="29.2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3"/>
      <c r="N33" s="3"/>
    </row>
    <row r="34" spans="1:14" s="5" customFormat="1" ht="12.75">
      <c r="A34" s="82"/>
      <c r="B34" s="65"/>
      <c r="C34" s="65"/>
      <c r="D34" s="65"/>
      <c r="E34" s="65"/>
      <c r="F34" s="65"/>
      <c r="G34" s="65"/>
      <c r="H34" s="65"/>
      <c r="I34" s="65"/>
      <c r="J34" s="65"/>
      <c r="K34" s="69"/>
      <c r="L34" s="60"/>
      <c r="M34" s="61"/>
      <c r="N34" s="61"/>
    </row>
    <row r="35" spans="1:14" ht="15">
      <c r="A35" s="91" t="s">
        <v>121</v>
      </c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17"/>
      <c r="M35" s="17"/>
      <c r="N35" s="17"/>
    </row>
    <row r="36" spans="1:14" ht="12.75" customHeight="1">
      <c r="A36" s="97" t="s">
        <v>21</v>
      </c>
      <c r="B36" s="98" t="s">
        <v>132</v>
      </c>
      <c r="C36" s="99" t="s">
        <v>59</v>
      </c>
      <c r="D36" s="99" t="s">
        <v>25</v>
      </c>
      <c r="E36" s="99" t="s">
        <v>29</v>
      </c>
      <c r="F36" s="99" t="s">
        <v>26</v>
      </c>
      <c r="G36" s="97" t="s">
        <v>32</v>
      </c>
      <c r="H36" s="99" t="s">
        <v>40</v>
      </c>
      <c r="I36" s="98" t="s">
        <v>66</v>
      </c>
      <c r="J36" s="62" t="s">
        <v>68</v>
      </c>
      <c r="K36" s="18"/>
      <c r="L36" s="5"/>
      <c r="M36" s="5"/>
      <c r="N36" s="5"/>
    </row>
    <row r="37" spans="1:11" ht="12.75" customHeight="1">
      <c r="A37" s="100" t="s">
        <v>22</v>
      </c>
      <c r="B37" s="101" t="s">
        <v>23</v>
      </c>
      <c r="C37" s="102" t="s">
        <v>24</v>
      </c>
      <c r="D37" s="102" t="s">
        <v>22</v>
      </c>
      <c r="E37" s="102"/>
      <c r="F37" s="102" t="s">
        <v>22</v>
      </c>
      <c r="G37" s="100"/>
      <c r="H37" s="102"/>
      <c r="I37" s="103" t="s">
        <v>67</v>
      </c>
      <c r="J37" s="19"/>
      <c r="K37" s="20"/>
    </row>
    <row r="38" spans="1:11" ht="12.75" customHeight="1">
      <c r="A38" s="48">
        <v>5</v>
      </c>
      <c r="B38" s="63">
        <f aca="true" t="shared" si="0" ref="B38:B44">$I$32/A38</f>
        <v>10.614555817498415</v>
      </c>
      <c r="C38" s="64">
        <f>((1-$D$24)*$D$23*A38*PI()*PI())/(B38*B38*32*$D$27)</f>
        <v>6.71359490833991</v>
      </c>
      <c r="D38" s="49">
        <v>500</v>
      </c>
      <c r="E38" s="66">
        <f aca="true" t="shared" si="1" ref="E38:E73">D38/C38</f>
        <v>74.47574761755122</v>
      </c>
      <c r="F38" s="64">
        <f aca="true" t="shared" si="2" ref="F38:F44">POWER(E38,0.2)</f>
        <v>2.3681160120822544</v>
      </c>
      <c r="G38" s="67">
        <f aca="true" t="shared" si="3" ref="G38:G73">4*B38/(F38*PI()*$D$32)</f>
        <v>5018761.533098058</v>
      </c>
      <c r="H38" s="68">
        <f aca="true" t="shared" si="4" ref="H38:H73">$M$23/(F38*1000)</f>
        <v>4.222766092952992E-05</v>
      </c>
      <c r="I38" s="50">
        <v>0.002</v>
      </c>
      <c r="J38" s="82"/>
      <c r="K38" s="69"/>
    </row>
    <row r="39" spans="1:11" ht="12.75" customHeight="1">
      <c r="A39" s="73">
        <f>A38</f>
        <v>5</v>
      </c>
      <c r="B39" s="70">
        <f t="shared" si="0"/>
        <v>10.614555817498415</v>
      </c>
      <c r="C39" s="71">
        <f>C38</f>
        <v>6.71359490833991</v>
      </c>
      <c r="D39" s="58">
        <v>1000</v>
      </c>
      <c r="E39" s="72">
        <f t="shared" si="1"/>
        <v>148.95149523510244</v>
      </c>
      <c r="F39" s="71">
        <f t="shared" si="2"/>
        <v>2.7202509675210242</v>
      </c>
      <c r="G39" s="86">
        <f t="shared" si="3"/>
        <v>4369085.679687434</v>
      </c>
      <c r="H39" s="87">
        <f t="shared" si="4"/>
        <v>3.676131400888E-05</v>
      </c>
      <c r="I39" s="59"/>
      <c r="J39" s="73"/>
      <c r="K39" s="74"/>
    </row>
    <row r="40" spans="1:11" ht="12.75" customHeight="1">
      <c r="A40" s="48">
        <v>10</v>
      </c>
      <c r="B40" s="63">
        <f t="shared" si="0"/>
        <v>5.3072779087492075</v>
      </c>
      <c r="C40" s="64">
        <f>((1-$D$24)*$D$23*A40*PI()*PI())/(B40*B40*32*$D$27)</f>
        <v>53.70875926671928</v>
      </c>
      <c r="D40" s="49">
        <v>500</v>
      </c>
      <c r="E40" s="66">
        <f t="shared" si="1"/>
        <v>9.309468452193903</v>
      </c>
      <c r="F40" s="64">
        <f t="shared" si="2"/>
        <v>1.5623739057852466</v>
      </c>
      <c r="G40" s="67">
        <f t="shared" si="3"/>
        <v>3803509.9995409255</v>
      </c>
      <c r="H40" s="68">
        <f t="shared" si="4"/>
        <v>6.400516523587238E-05</v>
      </c>
      <c r="I40" s="50">
        <v>0.0027</v>
      </c>
      <c r="J40" s="82"/>
      <c r="K40" s="69"/>
    </row>
    <row r="41" spans="1:11" ht="12.75" customHeight="1">
      <c r="A41" s="73">
        <f>A40</f>
        <v>10</v>
      </c>
      <c r="B41" s="70">
        <f t="shared" si="0"/>
        <v>5.3072779087492075</v>
      </c>
      <c r="C41" s="71">
        <f>C40</f>
        <v>53.70875926671928</v>
      </c>
      <c r="D41" s="58">
        <v>1000</v>
      </c>
      <c r="E41" s="72">
        <f t="shared" si="1"/>
        <v>18.618936904387805</v>
      </c>
      <c r="F41" s="71">
        <f t="shared" si="2"/>
        <v>1.7946963354658052</v>
      </c>
      <c r="G41" s="86">
        <f t="shared" si="3"/>
        <v>3311147.7726027938</v>
      </c>
      <c r="H41" s="87">
        <f t="shared" si="4"/>
        <v>5.5719732649950195E-05</v>
      </c>
      <c r="I41" s="59"/>
      <c r="J41" s="73"/>
      <c r="K41" s="74"/>
    </row>
    <row r="42" spans="1:11" ht="12.75">
      <c r="A42" s="53">
        <v>15</v>
      </c>
      <c r="B42" s="63">
        <f t="shared" si="0"/>
        <v>3.5381852724994713</v>
      </c>
      <c r="C42" s="64">
        <f>((1-$D$24)*$D$23*A42*PI()*PI())/(B42*B42*32*$D$27)</f>
        <v>181.26706252517758</v>
      </c>
      <c r="D42" s="49">
        <v>500</v>
      </c>
      <c r="E42" s="66">
        <f t="shared" si="1"/>
        <v>2.758361022872267</v>
      </c>
      <c r="F42" s="64">
        <f t="shared" si="2"/>
        <v>1.2249834506226462</v>
      </c>
      <c r="G42" s="67">
        <f t="shared" si="3"/>
        <v>3234059.8945264574</v>
      </c>
      <c r="H42" s="68">
        <f t="shared" si="4"/>
        <v>8.163375590843376E-05</v>
      </c>
      <c r="I42" s="52">
        <v>0.0027</v>
      </c>
      <c r="J42" s="83"/>
      <c r="K42" s="75"/>
    </row>
    <row r="43" spans="1:11" ht="12.75">
      <c r="A43" s="73">
        <f>A42</f>
        <v>15</v>
      </c>
      <c r="B43" s="70">
        <f t="shared" si="0"/>
        <v>3.5381852724994713</v>
      </c>
      <c r="C43" s="71">
        <f>C42</f>
        <v>181.26706252517758</v>
      </c>
      <c r="D43" s="58">
        <v>1000</v>
      </c>
      <c r="E43" s="72">
        <f t="shared" si="1"/>
        <v>5.516722045744534</v>
      </c>
      <c r="F43" s="71">
        <f t="shared" si="2"/>
        <v>1.4071364746288253</v>
      </c>
      <c r="G43" s="86">
        <f t="shared" si="3"/>
        <v>2815412.6629134114</v>
      </c>
      <c r="H43" s="87">
        <f t="shared" si="4"/>
        <v>7.10663121900653E-05</v>
      </c>
      <c r="I43" s="59"/>
      <c r="J43" s="73"/>
      <c r="K43" s="74"/>
    </row>
    <row r="44" spans="1:11" ht="12.75">
      <c r="A44" s="53">
        <v>20</v>
      </c>
      <c r="B44" s="23">
        <f t="shared" si="0"/>
        <v>2.6536389543746037</v>
      </c>
      <c r="C44" s="24">
        <f>((1-$D$24)*$D$23*A44*PI()*PI())/(B44*B44*32*$D$27)</f>
        <v>429.6700741337542</v>
      </c>
      <c r="D44" s="49">
        <v>500</v>
      </c>
      <c r="E44" s="26">
        <f t="shared" si="1"/>
        <v>1.1636835565242378</v>
      </c>
      <c r="F44" s="24">
        <f t="shared" si="2"/>
        <v>1.0307823641343887</v>
      </c>
      <c r="G44" s="27">
        <f t="shared" si="3"/>
        <v>2882521.5585960685</v>
      </c>
      <c r="H44" s="28">
        <f t="shared" si="4"/>
        <v>9.701368929024717E-05</v>
      </c>
      <c r="I44" s="52">
        <v>0.003</v>
      </c>
      <c r="J44" s="22"/>
      <c r="K44" s="29"/>
    </row>
    <row r="45" spans="1:11" ht="12.75">
      <c r="A45" s="83">
        <f>A44</f>
        <v>20</v>
      </c>
      <c r="B45" s="30">
        <f>B44</f>
        <v>2.6536389543746037</v>
      </c>
      <c r="C45" s="31">
        <f>C44</f>
        <v>429.6700741337542</v>
      </c>
      <c r="D45" s="51">
        <v>1000</v>
      </c>
      <c r="E45" s="33">
        <f t="shared" si="1"/>
        <v>2.3273671130484757</v>
      </c>
      <c r="F45" s="31">
        <f aca="true" t="shared" si="5" ref="F45:F69">POWER(E45,0.2)</f>
        <v>1.1840580060411272</v>
      </c>
      <c r="G45" s="34">
        <f t="shared" si="3"/>
        <v>2509380.766549029</v>
      </c>
      <c r="H45" s="35">
        <f t="shared" si="4"/>
        <v>8.445532185905983E-05</v>
      </c>
      <c r="I45" s="52"/>
      <c r="J45" s="22"/>
      <c r="K45" s="29"/>
    </row>
    <row r="46" spans="1:11" ht="12.75">
      <c r="A46" s="73">
        <f>A44</f>
        <v>20</v>
      </c>
      <c r="B46" s="30">
        <f>B45</f>
        <v>2.6536389543746037</v>
      </c>
      <c r="C46" s="31">
        <f>C44</f>
        <v>429.6700741337542</v>
      </c>
      <c r="D46" s="51">
        <v>1500</v>
      </c>
      <c r="E46" s="33">
        <f t="shared" si="1"/>
        <v>3.4910506695727133</v>
      </c>
      <c r="F46" s="31">
        <f t="shared" si="5"/>
        <v>1.2840774830122363</v>
      </c>
      <c r="G46" s="34">
        <f t="shared" si="3"/>
        <v>2313919.8577549425</v>
      </c>
      <c r="H46" s="35">
        <f t="shared" si="4"/>
        <v>7.787692045297478E-05</v>
      </c>
      <c r="I46" s="59"/>
      <c r="J46" s="36"/>
      <c r="K46" s="43"/>
    </row>
    <row r="47" spans="1:11" ht="12.75">
      <c r="A47" s="53">
        <v>30</v>
      </c>
      <c r="B47" s="23">
        <f>$I$32/A47</f>
        <v>1.7690926362497357</v>
      </c>
      <c r="C47" s="24">
        <f>((1-$D$24)*$D$23*A47*PI()*PI())/(B47*B47*32*$D$27)</f>
        <v>1450.1365002014206</v>
      </c>
      <c r="D47" s="49">
        <v>500</v>
      </c>
      <c r="E47" s="26">
        <f t="shared" si="1"/>
        <v>0.3447951278590334</v>
      </c>
      <c r="F47" s="24">
        <f>POWER(E47,0.2)</f>
        <v>0.8081876768312294</v>
      </c>
      <c r="G47" s="27">
        <f t="shared" si="3"/>
        <v>2450959.079610311</v>
      </c>
      <c r="H47" s="28">
        <f t="shared" si="4"/>
        <v>0.00012373363621687912</v>
      </c>
      <c r="I47" s="52">
        <v>0.003</v>
      </c>
      <c r="J47" s="22"/>
      <c r="K47" s="29"/>
    </row>
    <row r="48" spans="1:11" ht="12.75">
      <c r="A48" s="83">
        <f>A47</f>
        <v>30</v>
      </c>
      <c r="B48" s="30">
        <f>B47</f>
        <v>1.7690926362497357</v>
      </c>
      <c r="C48" s="31">
        <f>C47</f>
        <v>1450.1365002014206</v>
      </c>
      <c r="D48" s="51">
        <v>1000</v>
      </c>
      <c r="E48" s="33">
        <f t="shared" si="1"/>
        <v>0.6895902557180668</v>
      </c>
      <c r="F48" s="31">
        <f t="shared" si="5"/>
        <v>0.9283638549049085</v>
      </c>
      <c r="G48" s="34">
        <f t="shared" si="3"/>
        <v>2133683.807370506</v>
      </c>
      <c r="H48" s="35">
        <f t="shared" si="4"/>
        <v>0.00010771638670728183</v>
      </c>
      <c r="I48" s="52"/>
      <c r="J48" s="22"/>
      <c r="K48" s="29"/>
    </row>
    <row r="49" spans="1:11" ht="12.75">
      <c r="A49" s="73">
        <f>A47</f>
        <v>30</v>
      </c>
      <c r="B49" s="37">
        <f>B47</f>
        <v>1.7690926362497357</v>
      </c>
      <c r="C49" s="38">
        <f>C47</f>
        <v>1450.1365002014206</v>
      </c>
      <c r="D49" s="51">
        <v>1500</v>
      </c>
      <c r="E49" s="40">
        <f t="shared" si="1"/>
        <v>1.0343853835771002</v>
      </c>
      <c r="F49" s="38">
        <f t="shared" si="5"/>
        <v>1.0067843940446495</v>
      </c>
      <c r="G49" s="41">
        <f t="shared" si="3"/>
        <v>1967486.7193767987</v>
      </c>
      <c r="H49" s="42">
        <f t="shared" si="4"/>
        <v>9.932613237900979E-05</v>
      </c>
      <c r="I49" s="59"/>
      <c r="J49" s="36"/>
      <c r="K49" s="43"/>
    </row>
    <row r="50" spans="1:11" ht="12.75">
      <c r="A50" s="53">
        <v>40</v>
      </c>
      <c r="B50" s="23">
        <f>$I$32/A50</f>
        <v>1.3268194771873019</v>
      </c>
      <c r="C50" s="24">
        <f>((1-$D$24)*$D$23*A50*PI()*PI())/(B50*B50*32*$D$27)</f>
        <v>3437.3605930700337</v>
      </c>
      <c r="D50" s="49">
        <v>500</v>
      </c>
      <c r="E50" s="26">
        <f t="shared" si="1"/>
        <v>0.14546044456552973</v>
      </c>
      <c r="F50" s="24">
        <f>POWER(E50,0.2)</f>
        <v>0.6800627418802561</v>
      </c>
      <c r="G50" s="27">
        <f t="shared" si="3"/>
        <v>2184542.839843717</v>
      </c>
      <c r="H50" s="28">
        <f t="shared" si="4"/>
        <v>0.00014704525603552</v>
      </c>
      <c r="I50" s="52">
        <v>0.003</v>
      </c>
      <c r="J50" s="22"/>
      <c r="K50" s="29"/>
    </row>
    <row r="51" spans="1:11" ht="12.75">
      <c r="A51" s="83">
        <f>A50</f>
        <v>40</v>
      </c>
      <c r="B51" s="30">
        <f>B50</f>
        <v>1.3268194771873019</v>
      </c>
      <c r="C51" s="31">
        <f>C50</f>
        <v>3437.3605930700337</v>
      </c>
      <c r="D51" s="51">
        <v>1000</v>
      </c>
      <c r="E51" s="33">
        <f t="shared" si="1"/>
        <v>0.29092088913105946</v>
      </c>
      <c r="F51" s="31">
        <f t="shared" si="5"/>
        <v>0.7811869528926233</v>
      </c>
      <c r="G51" s="34">
        <f t="shared" si="3"/>
        <v>1901754.9997704627</v>
      </c>
      <c r="H51" s="35">
        <f t="shared" si="4"/>
        <v>0.00012801033047174477</v>
      </c>
      <c r="I51" s="52"/>
      <c r="J51" s="22"/>
      <c r="K51" s="29"/>
    </row>
    <row r="52" spans="1:11" ht="12.75">
      <c r="A52" s="73">
        <f>A50</f>
        <v>40</v>
      </c>
      <c r="B52" s="37">
        <f>B50</f>
        <v>1.3268194771873019</v>
      </c>
      <c r="C52" s="38">
        <f>C50</f>
        <v>3437.3605930700337</v>
      </c>
      <c r="D52" s="51">
        <v>1500</v>
      </c>
      <c r="E52" s="40">
        <f t="shared" si="1"/>
        <v>0.43638133369658916</v>
      </c>
      <c r="F52" s="38">
        <f t="shared" si="5"/>
        <v>0.8471751984399963</v>
      </c>
      <c r="G52" s="41">
        <f t="shared" si="3"/>
        <v>1753623.330988275</v>
      </c>
      <c r="H52" s="42">
        <f t="shared" si="4"/>
        <v>0.00011803933847938634</v>
      </c>
      <c r="I52" s="59"/>
      <c r="J52" s="36"/>
      <c r="K52" s="43"/>
    </row>
    <row r="53" spans="1:13" ht="12.75">
      <c r="A53" s="53">
        <v>50</v>
      </c>
      <c r="B53" s="23">
        <f>$I$32/A53</f>
        <v>1.0614555817498414</v>
      </c>
      <c r="C53" s="24">
        <f>((1-$D$24)*$D$23*A53*PI()*PI())/(B53*B53*32*$D$27)</f>
        <v>6713.594908339911</v>
      </c>
      <c r="D53" s="49">
        <v>500</v>
      </c>
      <c r="E53" s="26">
        <f t="shared" si="1"/>
        <v>0.0744757476175512</v>
      </c>
      <c r="F53" s="24">
        <f>POWER(E53,0.2)</f>
        <v>0.5948438478989991</v>
      </c>
      <c r="G53" s="27">
        <f t="shared" si="3"/>
        <v>1998004.9536244</v>
      </c>
      <c r="H53" s="28">
        <f t="shared" si="4"/>
        <v>0.00016811134611747618</v>
      </c>
      <c r="I53" s="52">
        <v>0.003</v>
      </c>
      <c r="J53" s="22"/>
      <c r="K53" s="29"/>
      <c r="L53" s="80" t="s">
        <v>63</v>
      </c>
      <c r="M53" s="81" t="s">
        <v>64</v>
      </c>
    </row>
    <row r="54" spans="1:13" ht="12.75">
      <c r="A54" s="130">
        <f>A53</f>
        <v>50</v>
      </c>
      <c r="B54" s="131">
        <f>B53</f>
        <v>1.0614555817498414</v>
      </c>
      <c r="C54" s="132">
        <f>C53</f>
        <v>6713.594908339911</v>
      </c>
      <c r="D54" s="133">
        <v>1000</v>
      </c>
      <c r="E54" s="134">
        <f t="shared" si="1"/>
        <v>0.1489514952351024</v>
      </c>
      <c r="F54" s="132">
        <f t="shared" si="5"/>
        <v>0.6832961495616867</v>
      </c>
      <c r="G54" s="135">
        <f t="shared" si="3"/>
        <v>1739364.337846168</v>
      </c>
      <c r="H54" s="136">
        <f t="shared" si="4"/>
        <v>0.00014634942705903862</v>
      </c>
      <c r="I54" s="137"/>
      <c r="J54" s="130" t="s">
        <v>130</v>
      </c>
      <c r="K54" s="137"/>
      <c r="L54" s="22">
        <v>0.0001</v>
      </c>
      <c r="M54" s="32">
        <v>0.0027</v>
      </c>
    </row>
    <row r="55" spans="1:13" ht="12.75">
      <c r="A55" s="73">
        <f>A53</f>
        <v>50</v>
      </c>
      <c r="B55" s="37">
        <f>B53</f>
        <v>1.0614555817498414</v>
      </c>
      <c r="C55" s="38">
        <f>C53</f>
        <v>6713.594908339911</v>
      </c>
      <c r="D55" s="51">
        <v>1500</v>
      </c>
      <c r="E55" s="40">
        <f t="shared" si="1"/>
        <v>0.2234272428526536</v>
      </c>
      <c r="F55" s="38">
        <f t="shared" si="5"/>
        <v>0.74101538556773</v>
      </c>
      <c r="G55" s="41">
        <f t="shared" si="3"/>
        <v>1603881.6168771281</v>
      </c>
      <c r="H55" s="42">
        <f t="shared" si="4"/>
        <v>0.00013494996453195754</v>
      </c>
      <c r="I55" s="59"/>
      <c r="J55" s="36"/>
      <c r="K55" s="43"/>
      <c r="L55" s="22">
        <v>0.0004</v>
      </c>
      <c r="M55" s="32">
        <v>0.004</v>
      </c>
    </row>
    <row r="56" spans="1:13" ht="12.75">
      <c r="A56" s="53">
        <v>60</v>
      </c>
      <c r="B56" s="23">
        <f>$I$32/A56</f>
        <v>0.8845463181248678</v>
      </c>
      <c r="C56" s="24">
        <f>((1-$D$24)*$D$23*A56*PI()*PI())/(B56*B56*32*$D$27)</f>
        <v>11601.092001611365</v>
      </c>
      <c r="D56" s="49">
        <v>500</v>
      </c>
      <c r="E56" s="26">
        <f t="shared" si="1"/>
        <v>0.04309939098237917</v>
      </c>
      <c r="F56" s="24">
        <f>POWER(E56,0.2)</f>
        <v>0.5332050164839872</v>
      </c>
      <c r="G56" s="27">
        <f t="shared" si="3"/>
        <v>1857479.6404022134</v>
      </c>
      <c r="H56" s="28">
        <f t="shared" si="4"/>
        <v>0.00018754512224849467</v>
      </c>
      <c r="I56" s="52">
        <v>0.003</v>
      </c>
      <c r="J56" s="22"/>
      <c r="K56" s="29"/>
      <c r="L56" s="22">
        <v>0.001</v>
      </c>
      <c r="M56" s="32">
        <v>0.0049</v>
      </c>
    </row>
    <row r="57" spans="1:13" ht="12.75">
      <c r="A57" s="83">
        <f>A56</f>
        <v>60</v>
      </c>
      <c r="B57" s="30">
        <f>B56</f>
        <v>0.8845463181248678</v>
      </c>
      <c r="C57" s="31">
        <f>C56</f>
        <v>11601.092001611365</v>
      </c>
      <c r="D57" s="51">
        <v>1000</v>
      </c>
      <c r="E57" s="33">
        <f t="shared" si="1"/>
        <v>0.08619878196475834</v>
      </c>
      <c r="F57" s="31">
        <f t="shared" si="5"/>
        <v>0.612491725311323</v>
      </c>
      <c r="G57" s="34">
        <f t="shared" si="3"/>
        <v>1617029.947263229</v>
      </c>
      <c r="H57" s="35">
        <f t="shared" si="4"/>
        <v>0.00016326751181686754</v>
      </c>
      <c r="I57" s="52"/>
      <c r="J57" s="22"/>
      <c r="K57" s="29"/>
      <c r="L57" s="22">
        <v>0.004</v>
      </c>
      <c r="M57" s="32">
        <v>0.007</v>
      </c>
    </row>
    <row r="58" spans="1:13" ht="12.75">
      <c r="A58" s="73">
        <f>A56</f>
        <v>60</v>
      </c>
      <c r="B58" s="37">
        <f>B56</f>
        <v>0.8845463181248678</v>
      </c>
      <c r="C58" s="38">
        <f>C56</f>
        <v>11601.092001611365</v>
      </c>
      <c r="D58" s="51">
        <v>1500</v>
      </c>
      <c r="E58" s="40">
        <f t="shared" si="1"/>
        <v>0.12929817294713752</v>
      </c>
      <c r="F58" s="38">
        <f t="shared" si="5"/>
        <v>0.6642299861923048</v>
      </c>
      <c r="G58" s="41">
        <f t="shared" si="3"/>
        <v>1491076.1074743043</v>
      </c>
      <c r="H58" s="42">
        <f t="shared" si="4"/>
        <v>0.00015055026433427002</v>
      </c>
      <c r="I58" s="59"/>
      <c r="J58" s="36"/>
      <c r="K58" s="43"/>
      <c r="L58" s="22">
        <v>0.01</v>
      </c>
      <c r="M58" s="32">
        <v>0.009</v>
      </c>
    </row>
    <row r="59" spans="1:13" ht="12.75">
      <c r="A59" s="53">
        <v>75</v>
      </c>
      <c r="B59" s="23">
        <f>$I$32/A59</f>
        <v>0.7076370544998943</v>
      </c>
      <c r="C59" s="24">
        <f>((1-$D$24)*$D$23*A59*PI()*PI())/(B59*B59*32*$D$27)</f>
        <v>22658.382815647194</v>
      </c>
      <c r="D59" s="49">
        <v>500</v>
      </c>
      <c r="E59" s="26">
        <f t="shared" si="1"/>
        <v>0.02206688818297814</v>
      </c>
      <c r="F59" s="24">
        <f>POWER(E59,0.2)</f>
        <v>0.46638891412791367</v>
      </c>
      <c r="G59" s="27">
        <f t="shared" si="3"/>
        <v>1698869.6468161712</v>
      </c>
      <c r="H59" s="28">
        <f t="shared" si="4"/>
        <v>0.00021441332967141156</v>
      </c>
      <c r="I59" s="52">
        <v>0.003</v>
      </c>
      <c r="J59" s="22"/>
      <c r="K59" s="29"/>
      <c r="L59" s="22">
        <v>0.02</v>
      </c>
      <c r="M59" s="32">
        <v>0.012</v>
      </c>
    </row>
    <row r="60" spans="1:13" ht="12.75">
      <c r="A60" s="83">
        <f>A59</f>
        <v>75</v>
      </c>
      <c r="B60" s="30">
        <f>B59</f>
        <v>0.7076370544998943</v>
      </c>
      <c r="C60" s="31">
        <f>C59</f>
        <v>22658.382815647194</v>
      </c>
      <c r="D60" s="51">
        <v>1000</v>
      </c>
      <c r="E60" s="33">
        <f t="shared" si="1"/>
        <v>0.04413377636595628</v>
      </c>
      <c r="F60" s="31">
        <f t="shared" si="5"/>
        <v>0.5357401784475878</v>
      </c>
      <c r="G60" s="34">
        <f t="shared" si="3"/>
        <v>1478951.9280025053</v>
      </c>
      <c r="H60" s="35">
        <f t="shared" si="4"/>
        <v>0.0001866576449236449</v>
      </c>
      <c r="I60" s="52"/>
      <c r="J60" s="22"/>
      <c r="K60" s="29"/>
      <c r="L60" s="36">
        <v>0.04</v>
      </c>
      <c r="M60" s="39">
        <v>0.017</v>
      </c>
    </row>
    <row r="61" spans="1:11" ht="12.75">
      <c r="A61" s="73">
        <f>A59</f>
        <v>75</v>
      </c>
      <c r="B61" s="37">
        <f>B59</f>
        <v>0.7076370544998943</v>
      </c>
      <c r="C61" s="38">
        <f>C59</f>
        <v>22658.382815647194</v>
      </c>
      <c r="D61" s="51">
        <v>1500</v>
      </c>
      <c r="E61" s="40">
        <f t="shared" si="1"/>
        <v>0.06620066454893442</v>
      </c>
      <c r="F61" s="38">
        <f t="shared" si="5"/>
        <v>0.5809951002228266</v>
      </c>
      <c r="G61" s="41">
        <f t="shared" si="3"/>
        <v>1363753.273512265</v>
      </c>
      <c r="H61" s="42">
        <f t="shared" si="4"/>
        <v>0.00017211849112264014</v>
      </c>
      <c r="I61" s="59"/>
      <c r="J61" s="36"/>
      <c r="K61" s="43"/>
    </row>
    <row r="62" spans="1:11" ht="12.75">
      <c r="A62" s="53">
        <v>100</v>
      </c>
      <c r="B62" s="23">
        <f>$I$32/A62</f>
        <v>0.5307277908749207</v>
      </c>
      <c r="C62" s="24">
        <f>((1-$D$24)*$D$23*A62*PI()*PI())/(B62*B62*32*$D$27)</f>
        <v>53708.75926671929</v>
      </c>
      <c r="D62" s="49">
        <v>500</v>
      </c>
      <c r="E62" s="26">
        <f t="shared" si="1"/>
        <v>0.0093094684521939</v>
      </c>
      <c r="F62" s="24">
        <f>POWER(E62,0.2)</f>
        <v>0.39245058148865875</v>
      </c>
      <c r="G62" s="27">
        <f t="shared" si="3"/>
        <v>1514204.6040891716</v>
      </c>
      <c r="H62" s="28">
        <f t="shared" si="4"/>
        <v>0.0002548091523286222</v>
      </c>
      <c r="I62" s="52">
        <v>0.003</v>
      </c>
      <c r="J62" s="22"/>
      <c r="K62" s="29"/>
    </row>
    <row r="63" spans="1:11" ht="12.75">
      <c r="A63" s="83">
        <f>A62</f>
        <v>100</v>
      </c>
      <c r="B63" s="30">
        <f>B62</f>
        <v>0.5307277908749207</v>
      </c>
      <c r="C63" s="31">
        <f>C62</f>
        <v>53708.75926671929</v>
      </c>
      <c r="D63" s="51">
        <v>1000</v>
      </c>
      <c r="E63" s="33">
        <f t="shared" si="1"/>
        <v>0.0186189369043878</v>
      </c>
      <c r="F63" s="31">
        <f t="shared" si="5"/>
        <v>0.45080733737365214</v>
      </c>
      <c r="G63" s="34">
        <f t="shared" si="3"/>
        <v>1318191.671035413</v>
      </c>
      <c r="H63" s="35">
        <f t="shared" si="4"/>
        <v>0.00022182425109268996</v>
      </c>
      <c r="I63" s="52"/>
      <c r="J63" s="22"/>
      <c r="K63" s="29"/>
    </row>
    <row r="64" spans="1:11" ht="12.75">
      <c r="A64" s="83">
        <f>A62</f>
        <v>100</v>
      </c>
      <c r="B64" s="30">
        <f>B62</f>
        <v>0.5307277908749207</v>
      </c>
      <c r="C64" s="31">
        <f>C62</f>
        <v>53708.75926671929</v>
      </c>
      <c r="D64" s="51">
        <v>1500</v>
      </c>
      <c r="E64" s="33">
        <f t="shared" si="1"/>
        <v>0.0279284053565817</v>
      </c>
      <c r="F64" s="31">
        <f t="shared" si="5"/>
        <v>0.4888878316305231</v>
      </c>
      <c r="G64" s="34">
        <f t="shared" si="3"/>
        <v>1215514.9687110733</v>
      </c>
      <c r="H64" s="35">
        <f t="shared" si="4"/>
        <v>0.00020454589689107867</v>
      </c>
      <c r="I64" s="52"/>
      <c r="J64" s="22"/>
      <c r="K64" s="29"/>
    </row>
    <row r="65" spans="1:11" ht="12.75">
      <c r="A65" s="73">
        <f>A62</f>
        <v>100</v>
      </c>
      <c r="B65" s="37">
        <f>B62</f>
        <v>0.5307277908749207</v>
      </c>
      <c r="C65" s="38">
        <f>C62</f>
        <v>53708.75926671929</v>
      </c>
      <c r="D65" s="51">
        <v>2000</v>
      </c>
      <c r="E65" s="40">
        <f t="shared" si="1"/>
        <v>0.0372378738087756</v>
      </c>
      <c r="F65" s="38">
        <f t="shared" si="5"/>
        <v>0.5178416468617076</v>
      </c>
      <c r="G65" s="41">
        <f t="shared" si="3"/>
        <v>1147552.5017521377</v>
      </c>
      <c r="H65" s="42">
        <f t="shared" si="4"/>
        <v>0.0001931092267414821</v>
      </c>
      <c r="I65" s="59"/>
      <c r="J65" s="36"/>
      <c r="K65" s="43"/>
    </row>
    <row r="66" spans="1:11" ht="12.75">
      <c r="A66" s="53">
        <v>150</v>
      </c>
      <c r="B66" s="23">
        <f>$I$32/A66</f>
        <v>0.35381852724994717</v>
      </c>
      <c r="C66" s="24">
        <f>((1-$D$24)*$D$23*A66*PI()*PI())/(B66*B66*32*$D$27)</f>
        <v>181267.06252517755</v>
      </c>
      <c r="D66" s="49">
        <v>500</v>
      </c>
      <c r="E66" s="26">
        <f t="shared" si="1"/>
        <v>0.0027583610228722674</v>
      </c>
      <c r="F66" s="24">
        <f>POWER(E66,0.2)</f>
        <v>0.30770193084428105</v>
      </c>
      <c r="G66" s="27">
        <f t="shared" si="3"/>
        <v>1287502.4340104698</v>
      </c>
      <c r="H66" s="28">
        <f t="shared" si="4"/>
        <v>0.00032498983586361403</v>
      </c>
      <c r="I66" s="52">
        <v>0.0035</v>
      </c>
      <c r="J66" s="22"/>
      <c r="K66" s="29"/>
    </row>
    <row r="67" spans="1:11" ht="12.75">
      <c r="A67" s="83">
        <f>A66</f>
        <v>150</v>
      </c>
      <c r="B67" s="30">
        <f>B66</f>
        <v>0.35381852724994717</v>
      </c>
      <c r="C67" s="31">
        <f>C66</f>
        <v>181267.06252517755</v>
      </c>
      <c r="D67" s="51">
        <v>1000</v>
      </c>
      <c r="E67" s="33">
        <f t="shared" si="1"/>
        <v>0.005516722045744535</v>
      </c>
      <c r="F67" s="31">
        <f t="shared" si="5"/>
        <v>0.3534567017902371</v>
      </c>
      <c r="G67" s="34">
        <f t="shared" si="3"/>
        <v>1120835.9691729455</v>
      </c>
      <c r="H67" s="35">
        <f t="shared" si="4"/>
        <v>0.0002829200846765841</v>
      </c>
      <c r="I67" s="52"/>
      <c r="J67" s="22"/>
      <c r="K67" s="29"/>
    </row>
    <row r="68" spans="1:11" ht="12.75">
      <c r="A68" s="83">
        <f>A66</f>
        <v>150</v>
      </c>
      <c r="B68" s="30">
        <f>B66</f>
        <v>0.35381852724994717</v>
      </c>
      <c r="C68" s="31">
        <f>C66</f>
        <v>181267.06252517755</v>
      </c>
      <c r="D68" s="51">
        <v>1500</v>
      </c>
      <c r="E68" s="33">
        <f t="shared" si="1"/>
        <v>0.008275083068616802</v>
      </c>
      <c r="F68" s="31">
        <f t="shared" si="5"/>
        <v>0.3833138154321552</v>
      </c>
      <c r="G68" s="34">
        <f t="shared" si="3"/>
        <v>1033531.714647663</v>
      </c>
      <c r="H68" s="35">
        <f t="shared" si="4"/>
        <v>0.00026088284839735854</v>
      </c>
      <c r="I68" s="52"/>
      <c r="J68" s="22"/>
      <c r="K68" s="29"/>
    </row>
    <row r="69" spans="1:11" ht="12.75">
      <c r="A69" s="73">
        <f>A66</f>
        <v>150</v>
      </c>
      <c r="B69" s="37">
        <f>B66</f>
        <v>0.35381852724994717</v>
      </c>
      <c r="C69" s="38">
        <f>C66</f>
        <v>181267.06252517755</v>
      </c>
      <c r="D69" s="58">
        <v>2000</v>
      </c>
      <c r="E69" s="40">
        <f t="shared" si="1"/>
        <v>0.01103344409148907</v>
      </c>
      <c r="F69" s="38">
        <f t="shared" si="5"/>
        <v>0.40601513190912286</v>
      </c>
      <c r="G69" s="41">
        <f t="shared" si="3"/>
        <v>975744.384326065</v>
      </c>
      <c r="H69" s="42">
        <f t="shared" si="4"/>
        <v>0.0002462962390829874</v>
      </c>
      <c r="I69" s="59"/>
      <c r="J69" s="36"/>
      <c r="K69" s="43"/>
    </row>
    <row r="70" spans="1:11" ht="12.75">
      <c r="A70" s="53">
        <v>200</v>
      </c>
      <c r="B70" s="23">
        <f>$I$32/A70</f>
        <v>0.26536389543746036</v>
      </c>
      <c r="C70" s="24">
        <f>((1-$D$24)*$D$23*A70*PI()*PI())/(B70*B70*32*$D$27)</f>
        <v>429670.0741337543</v>
      </c>
      <c r="D70" s="49">
        <v>500</v>
      </c>
      <c r="E70" s="26">
        <f t="shared" si="1"/>
        <v>0.0011636835565242375</v>
      </c>
      <c r="F70" s="24">
        <f>POWER(E70,0.2)</f>
        <v>0.2589208234308538</v>
      </c>
      <c r="G70" s="27">
        <f t="shared" si="3"/>
        <v>1147552.5017521377</v>
      </c>
      <c r="H70" s="28">
        <f t="shared" si="4"/>
        <v>0.0003862184534829642</v>
      </c>
      <c r="I70" s="52">
        <v>0.004</v>
      </c>
      <c r="J70" s="22"/>
      <c r="K70" s="29"/>
    </row>
    <row r="71" spans="1:11" ht="12.75">
      <c r="A71" s="83">
        <f>A70</f>
        <v>200</v>
      </c>
      <c r="B71" s="30">
        <f>B70</f>
        <v>0.26536389543746036</v>
      </c>
      <c r="C71" s="31">
        <f>C70</f>
        <v>429670.0741337543</v>
      </c>
      <c r="D71" s="51">
        <v>1000</v>
      </c>
      <c r="E71" s="33">
        <f t="shared" si="1"/>
        <v>0.002327367113048475</v>
      </c>
      <c r="F71" s="31">
        <f>POWER(E71,0.2)</f>
        <v>0.2974219239494995</v>
      </c>
      <c r="G71" s="34">
        <f t="shared" si="3"/>
        <v>999002.4768122002</v>
      </c>
      <c r="H71" s="35">
        <f t="shared" si="4"/>
        <v>0.00033622269223495247</v>
      </c>
      <c r="I71" s="52"/>
      <c r="J71" s="22"/>
      <c r="K71" s="29"/>
    </row>
    <row r="72" spans="1:11" ht="12.75">
      <c r="A72" s="83">
        <f>A70</f>
        <v>200</v>
      </c>
      <c r="B72" s="30">
        <f>B70</f>
        <v>0.26536389543746036</v>
      </c>
      <c r="C72" s="31">
        <f>C70</f>
        <v>429670.0741337543</v>
      </c>
      <c r="D72" s="51">
        <v>1500</v>
      </c>
      <c r="E72" s="33">
        <f t="shared" si="1"/>
        <v>0.0034910506695727127</v>
      </c>
      <c r="F72" s="31">
        <f>POWER(E72,0.2)</f>
        <v>0.32254568065854095</v>
      </c>
      <c r="G72" s="34">
        <f t="shared" si="3"/>
        <v>921188.087458371</v>
      </c>
      <c r="H72" s="35">
        <f t="shared" si="4"/>
        <v>0.00031003360452953573</v>
      </c>
      <c r="I72" s="52"/>
      <c r="J72" s="22"/>
      <c r="K72" s="29"/>
    </row>
    <row r="73" spans="1:11" ht="12.75">
      <c r="A73" s="73">
        <f>A70</f>
        <v>200</v>
      </c>
      <c r="B73" s="37">
        <f>B70</f>
        <v>0.26536389543746036</v>
      </c>
      <c r="C73" s="38">
        <f>C70</f>
        <v>429670.0741337543</v>
      </c>
      <c r="D73" s="58">
        <v>2000</v>
      </c>
      <c r="E73" s="40">
        <f t="shared" si="1"/>
        <v>0.00465473422609695</v>
      </c>
      <c r="F73" s="38">
        <f>POWER(E73,0.2)</f>
        <v>0.34164807478084336</v>
      </c>
      <c r="G73" s="41">
        <f t="shared" si="3"/>
        <v>869682.168923084</v>
      </c>
      <c r="H73" s="42">
        <f t="shared" si="4"/>
        <v>0.00029269885411807724</v>
      </c>
      <c r="I73" s="59"/>
      <c r="J73" s="36"/>
      <c r="K73" s="43"/>
    </row>
    <row r="74" spans="1:11" ht="12.75">
      <c r="A74" s="44"/>
      <c r="B74" s="25"/>
      <c r="C74" s="25"/>
      <c r="D74" s="25"/>
      <c r="E74" s="25"/>
      <c r="F74" s="25"/>
      <c r="G74" s="25"/>
      <c r="H74" s="25"/>
      <c r="I74" s="25"/>
      <c r="J74" s="79"/>
      <c r="K74" s="32"/>
    </row>
    <row r="75" spans="1:11" ht="15">
      <c r="A75" s="112" t="s">
        <v>102</v>
      </c>
      <c r="B75" s="32"/>
      <c r="C75" s="32"/>
      <c r="D75" s="32"/>
      <c r="E75" s="32"/>
      <c r="F75" s="32"/>
      <c r="G75" s="32"/>
      <c r="H75" s="32"/>
      <c r="I75" s="32"/>
      <c r="J75" s="29"/>
      <c r="K75" s="32"/>
    </row>
    <row r="76" spans="1:11" ht="15">
      <c r="A76" s="113"/>
      <c r="B76" s="51" t="s">
        <v>103</v>
      </c>
      <c r="C76" s="51"/>
      <c r="D76" s="51"/>
      <c r="E76" s="51"/>
      <c r="F76" s="51"/>
      <c r="G76" s="51"/>
      <c r="H76" s="51">
        <v>5</v>
      </c>
      <c r="I76" s="51" t="s">
        <v>105</v>
      </c>
      <c r="J76" s="52"/>
      <c r="K76" s="32"/>
    </row>
    <row r="77" spans="1:11" ht="15">
      <c r="A77" s="113"/>
      <c r="B77" s="51" t="s">
        <v>106</v>
      </c>
      <c r="C77" s="51"/>
      <c r="D77" s="51"/>
      <c r="E77" s="51"/>
      <c r="F77" s="51"/>
      <c r="G77" s="51"/>
      <c r="H77" s="51">
        <v>2</v>
      </c>
      <c r="I77" s="51" t="s">
        <v>104</v>
      </c>
      <c r="J77" s="52"/>
      <c r="K77" s="32"/>
    </row>
    <row r="78" spans="1:11" ht="15">
      <c r="A78" s="116"/>
      <c r="B78" s="9" t="s">
        <v>107</v>
      </c>
      <c r="C78" s="9"/>
      <c r="D78" s="9"/>
      <c r="E78" s="9"/>
      <c r="F78" s="9"/>
      <c r="G78" s="9"/>
      <c r="H78" s="114">
        <f>1-(H77/(H76*52))</f>
        <v>0.9923076923076923</v>
      </c>
      <c r="I78" s="9"/>
      <c r="J78" s="10"/>
      <c r="K78" s="32"/>
    </row>
    <row r="79" spans="1:11" ht="15">
      <c r="A79" s="116"/>
      <c r="B79" s="9" t="s">
        <v>110</v>
      </c>
      <c r="C79" s="9"/>
      <c r="D79" s="9"/>
      <c r="E79" s="9"/>
      <c r="F79" s="9"/>
      <c r="G79" s="9"/>
      <c r="H79" s="115">
        <f>(1-H78)*365</f>
        <v>2.8076923076922977</v>
      </c>
      <c r="I79" s="9" t="s">
        <v>109</v>
      </c>
      <c r="J79" s="10"/>
      <c r="K79" s="32"/>
    </row>
    <row r="80" spans="1:11" ht="15">
      <c r="A80" s="117"/>
      <c r="B80" s="15" t="s">
        <v>111</v>
      </c>
      <c r="C80" s="15"/>
      <c r="D80" s="15"/>
      <c r="E80" s="15"/>
      <c r="F80" s="15"/>
      <c r="G80" s="15"/>
      <c r="H80" s="118"/>
      <c r="I80" s="15"/>
      <c r="J80" s="16"/>
      <c r="K80" s="32"/>
    </row>
    <row r="82" ht="15">
      <c r="A82" s="90" t="s">
        <v>112</v>
      </c>
    </row>
    <row r="83" ht="15">
      <c r="A83" s="90"/>
    </row>
    <row r="84" spans="2:7" ht="12.75">
      <c r="B84" s="44" t="s">
        <v>79</v>
      </c>
      <c r="C84" s="25"/>
      <c r="D84" s="25"/>
      <c r="E84" s="25"/>
      <c r="F84" s="25"/>
      <c r="G84" s="79"/>
    </row>
    <row r="85" spans="2:7" ht="12.75">
      <c r="B85" s="22"/>
      <c r="C85" s="32"/>
      <c r="D85" s="32"/>
      <c r="E85" s="32"/>
      <c r="F85" s="32"/>
      <c r="G85" s="29"/>
    </row>
    <row r="86" spans="2:7" ht="51">
      <c r="B86" s="106" t="s">
        <v>80</v>
      </c>
      <c r="C86" s="32"/>
      <c r="D86" s="107" t="s">
        <v>92</v>
      </c>
      <c r="E86" s="107" t="s">
        <v>81</v>
      </c>
      <c r="F86" s="107" t="s">
        <v>99</v>
      </c>
      <c r="G86" s="108" t="s">
        <v>98</v>
      </c>
    </row>
    <row r="87" spans="2:7" ht="12.75">
      <c r="B87" s="109" t="s">
        <v>86</v>
      </c>
      <c r="C87" s="32"/>
      <c r="D87" s="107">
        <v>311</v>
      </c>
      <c r="E87" s="107">
        <v>308</v>
      </c>
      <c r="F87" s="107">
        <v>6.1</v>
      </c>
      <c r="G87" s="110">
        <v>0</v>
      </c>
    </row>
    <row r="88" spans="2:7" ht="12.75">
      <c r="B88" s="109" t="s">
        <v>87</v>
      </c>
      <c r="C88" s="32"/>
      <c r="D88" s="107">
        <v>310</v>
      </c>
      <c r="E88" s="107">
        <v>68</v>
      </c>
      <c r="F88" s="107">
        <v>0.9</v>
      </c>
      <c r="G88" s="110">
        <v>0</v>
      </c>
    </row>
    <row r="89" spans="2:7" ht="12.75">
      <c r="B89" s="22" t="s">
        <v>82</v>
      </c>
      <c r="C89" s="32"/>
      <c r="D89" s="81">
        <v>1</v>
      </c>
      <c r="E89" s="81">
        <v>109</v>
      </c>
      <c r="F89" s="81">
        <v>5.8</v>
      </c>
      <c r="G89" s="110">
        <v>1</v>
      </c>
    </row>
    <row r="90" spans="2:7" ht="12.75">
      <c r="B90" s="22" t="s">
        <v>83</v>
      </c>
      <c r="C90" s="32"/>
      <c r="D90" s="81">
        <v>97</v>
      </c>
      <c r="E90" s="81">
        <v>63</v>
      </c>
      <c r="F90" s="81">
        <v>9.5</v>
      </c>
      <c r="G90" s="110">
        <v>0</v>
      </c>
    </row>
    <row r="91" spans="2:7" ht="12.75">
      <c r="B91" s="22" t="s">
        <v>84</v>
      </c>
      <c r="C91" s="32"/>
      <c r="D91" s="81">
        <v>2</v>
      </c>
      <c r="E91" s="81">
        <v>375</v>
      </c>
      <c r="F91" s="81">
        <v>38.4</v>
      </c>
      <c r="G91" s="110">
        <v>6</v>
      </c>
    </row>
    <row r="92" spans="2:7" ht="12.75">
      <c r="B92" s="22" t="s">
        <v>85</v>
      </c>
      <c r="C92" s="32"/>
      <c r="D92" s="81">
        <v>96</v>
      </c>
      <c r="E92" s="81">
        <v>746</v>
      </c>
      <c r="F92" s="81">
        <v>58.3</v>
      </c>
      <c r="G92" s="110">
        <v>11</v>
      </c>
    </row>
    <row r="93" spans="2:7" ht="12.75">
      <c r="B93" s="22" t="s">
        <v>90</v>
      </c>
      <c r="C93" s="32"/>
      <c r="D93" s="81">
        <v>95</v>
      </c>
      <c r="E93" s="81">
        <v>1568</v>
      </c>
      <c r="F93" s="81">
        <v>126</v>
      </c>
      <c r="G93" s="110">
        <v>61</v>
      </c>
    </row>
    <row r="94" spans="2:7" ht="12.75">
      <c r="B94" s="22" t="s">
        <v>91</v>
      </c>
      <c r="C94" s="32"/>
      <c r="D94" s="81">
        <v>3</v>
      </c>
      <c r="E94" s="81">
        <v>649</v>
      </c>
      <c r="F94" s="81">
        <v>60.7</v>
      </c>
      <c r="G94" s="110">
        <v>9</v>
      </c>
    </row>
    <row r="95" spans="2:7" ht="12.75">
      <c r="B95" s="22" t="s">
        <v>89</v>
      </c>
      <c r="C95" s="32"/>
      <c r="D95" s="81">
        <v>4</v>
      </c>
      <c r="E95" s="81">
        <v>1014</v>
      </c>
      <c r="F95" s="81">
        <v>93.9</v>
      </c>
      <c r="G95" s="110">
        <v>19</v>
      </c>
    </row>
    <row r="96" spans="2:7" ht="12.75">
      <c r="B96" s="22" t="s">
        <v>88</v>
      </c>
      <c r="C96" s="32"/>
      <c r="D96" s="81">
        <v>94</v>
      </c>
      <c r="E96" s="81">
        <v>936</v>
      </c>
      <c r="F96" s="81">
        <v>76</v>
      </c>
      <c r="G96" s="110">
        <v>48</v>
      </c>
    </row>
    <row r="97" spans="2:7" ht="12.75">
      <c r="B97" s="22" t="s">
        <v>97</v>
      </c>
      <c r="C97" s="32"/>
      <c r="D97" s="81">
        <v>93</v>
      </c>
      <c r="E97" s="81">
        <v>1978</v>
      </c>
      <c r="F97" s="81">
        <v>164.7</v>
      </c>
      <c r="G97" s="110">
        <v>70</v>
      </c>
    </row>
    <row r="98" spans="2:7" ht="12.75">
      <c r="B98" s="22" t="s">
        <v>100</v>
      </c>
      <c r="C98" s="32"/>
      <c r="D98" s="81">
        <v>5</v>
      </c>
      <c r="E98" s="81">
        <v>797</v>
      </c>
      <c r="F98" s="81">
        <v>98</v>
      </c>
      <c r="G98" s="110">
        <v>37</v>
      </c>
    </row>
    <row r="99" spans="2:7" ht="12.75">
      <c r="B99" s="22" t="s">
        <v>93</v>
      </c>
      <c r="C99" s="32"/>
      <c r="D99" s="81">
        <v>6</v>
      </c>
      <c r="E99" s="81">
        <v>1049</v>
      </c>
      <c r="F99" s="81">
        <v>119.3</v>
      </c>
      <c r="G99" s="110">
        <v>44</v>
      </c>
    </row>
    <row r="100" spans="2:7" ht="12.75">
      <c r="B100" s="22" t="s">
        <v>94</v>
      </c>
      <c r="C100" s="32"/>
      <c r="D100" s="81">
        <v>303</v>
      </c>
      <c r="E100" s="81">
        <v>1640</v>
      </c>
      <c r="F100" s="81">
        <v>63.6</v>
      </c>
      <c r="G100" s="110">
        <v>26</v>
      </c>
    </row>
    <row r="101" spans="2:7" ht="12.75">
      <c r="B101" s="22" t="s">
        <v>95</v>
      </c>
      <c r="C101" s="32"/>
      <c r="D101" s="81">
        <v>302</v>
      </c>
      <c r="E101" s="81">
        <v>828</v>
      </c>
      <c r="F101" s="81">
        <v>28.8</v>
      </c>
      <c r="G101" s="110">
        <v>6</v>
      </c>
    </row>
    <row r="102" spans="2:7" ht="12.75">
      <c r="B102" s="36" t="s">
        <v>96</v>
      </c>
      <c r="C102" s="39"/>
      <c r="D102" s="21">
        <v>305</v>
      </c>
      <c r="E102" s="21">
        <v>23</v>
      </c>
      <c r="F102" s="21">
        <v>0.2</v>
      </c>
      <c r="G102" s="20">
        <v>0</v>
      </c>
    </row>
    <row r="103" spans="2:7" ht="12.75">
      <c r="B103" s="44"/>
      <c r="C103" s="25"/>
      <c r="D103" s="128"/>
      <c r="E103" s="129"/>
      <c r="F103" s="81"/>
      <c r="G103" s="81"/>
    </row>
    <row r="104" spans="2:7" ht="12.75">
      <c r="B104" s="22" t="s">
        <v>128</v>
      </c>
      <c r="C104" s="32"/>
      <c r="D104" s="81"/>
      <c r="E104" s="110"/>
      <c r="F104" s="81"/>
      <c r="G104" s="81"/>
    </row>
    <row r="105" spans="2:7" ht="25.5">
      <c r="B105" s="106" t="s">
        <v>123</v>
      </c>
      <c r="C105" s="107"/>
      <c r="D105" s="107" t="s">
        <v>124</v>
      </c>
      <c r="E105" s="108" t="s">
        <v>125</v>
      </c>
      <c r="G105" s="81"/>
    </row>
    <row r="106" spans="2:7" ht="12.75">
      <c r="B106" s="22" t="s">
        <v>122</v>
      </c>
      <c r="C106" s="32"/>
      <c r="D106" s="81">
        <v>537</v>
      </c>
      <c r="E106" s="110">
        <v>150.4</v>
      </c>
      <c r="F106" s="81"/>
      <c r="G106" s="81"/>
    </row>
    <row r="107" spans="2:7" ht="12.75">
      <c r="B107" s="22" t="s">
        <v>126</v>
      </c>
      <c r="C107" s="32"/>
      <c r="D107" s="81">
        <v>300</v>
      </c>
      <c r="E107" s="110">
        <v>193.2</v>
      </c>
      <c r="F107" s="81"/>
      <c r="G107" s="81"/>
    </row>
    <row r="108" spans="2:7" ht="12.75">
      <c r="B108" s="36" t="s">
        <v>127</v>
      </c>
      <c r="C108" s="39"/>
      <c r="D108" s="21">
        <v>170</v>
      </c>
      <c r="E108" s="20">
        <v>276.6</v>
      </c>
      <c r="F108" s="81"/>
      <c r="G108" s="81"/>
    </row>
    <row r="109" spans="4:7" ht="12.75">
      <c r="D109" s="5"/>
      <c r="E109" s="5"/>
      <c r="F109" s="5"/>
      <c r="G109" s="5"/>
    </row>
    <row r="110" spans="4:7" ht="12.75">
      <c r="D110" s="5"/>
      <c r="E110" s="5"/>
      <c r="F110" s="5"/>
      <c r="G110" s="5"/>
    </row>
    <row r="111" spans="1:9" ht="15">
      <c r="A111" s="119" t="s">
        <v>101</v>
      </c>
      <c r="B111" s="120"/>
      <c r="C111" s="120"/>
      <c r="D111" s="120"/>
      <c r="E111" s="120"/>
      <c r="F111" s="120"/>
      <c r="G111" s="120"/>
      <c r="H111" s="120"/>
      <c r="I111" s="121"/>
    </row>
    <row r="112" spans="1:9" ht="12.75">
      <c r="A112" s="122"/>
      <c r="B112" s="123" t="s">
        <v>113</v>
      </c>
      <c r="C112" s="123"/>
      <c r="D112" s="123"/>
      <c r="E112" s="123"/>
      <c r="F112" s="123"/>
      <c r="G112" s="123"/>
      <c r="H112" s="123"/>
      <c r="I112" s="124"/>
    </row>
    <row r="113" spans="1:9" ht="12.75">
      <c r="A113" s="122"/>
      <c r="B113" s="123" t="s">
        <v>116</v>
      </c>
      <c r="C113" s="123"/>
      <c r="D113" s="123"/>
      <c r="E113" s="123"/>
      <c r="F113" s="123"/>
      <c r="G113" s="123"/>
      <c r="H113" s="123"/>
      <c r="I113" s="124"/>
    </row>
    <row r="114" spans="1:9" ht="12.75">
      <c r="A114" s="122"/>
      <c r="B114" s="123" t="s">
        <v>114</v>
      </c>
      <c r="C114" s="123"/>
      <c r="D114" s="123"/>
      <c r="E114" s="123"/>
      <c r="F114" s="123"/>
      <c r="G114" s="123"/>
      <c r="H114" s="123"/>
      <c r="I114" s="124"/>
    </row>
    <row r="115" spans="1:9" ht="12.75">
      <c r="A115" s="122"/>
      <c r="B115" s="123" t="s">
        <v>115</v>
      </c>
      <c r="C115" s="123"/>
      <c r="D115" s="123"/>
      <c r="E115" s="123"/>
      <c r="F115" s="123"/>
      <c r="G115" s="123"/>
      <c r="H115" s="123"/>
      <c r="I115" s="124"/>
    </row>
    <row r="116" spans="1:9" ht="12.75">
      <c r="A116" s="122"/>
      <c r="B116" s="123" t="s">
        <v>119</v>
      </c>
      <c r="C116" s="123"/>
      <c r="D116" s="123"/>
      <c r="E116" s="123"/>
      <c r="F116" s="123"/>
      <c r="G116" s="123"/>
      <c r="H116" s="123"/>
      <c r="I116" s="124"/>
    </row>
    <row r="117" spans="1:9" ht="15">
      <c r="A117" s="122"/>
      <c r="B117" s="123" t="s">
        <v>120</v>
      </c>
      <c r="C117" s="123"/>
      <c r="D117" s="123"/>
      <c r="E117" s="123"/>
      <c r="F117" s="123"/>
      <c r="G117" s="123"/>
      <c r="H117" s="123"/>
      <c r="I117" s="124"/>
    </row>
    <row r="118" spans="1:9" ht="12.75">
      <c r="A118" s="122"/>
      <c r="B118" s="123" t="s">
        <v>129</v>
      </c>
      <c r="C118" s="123"/>
      <c r="D118" s="123"/>
      <c r="E118" s="123"/>
      <c r="F118" s="123"/>
      <c r="G118" s="123"/>
      <c r="H118" s="123"/>
      <c r="I118" s="124"/>
    </row>
    <row r="119" spans="1:9" ht="12.75">
      <c r="A119" s="125"/>
      <c r="B119" s="126"/>
      <c r="C119" s="126"/>
      <c r="D119" s="126"/>
      <c r="E119" s="126"/>
      <c r="F119" s="126"/>
      <c r="G119" s="126"/>
      <c r="H119" s="126"/>
      <c r="I119" s="127"/>
    </row>
  </sheetData>
  <sheetProtection/>
  <printOptions/>
  <pageMargins left="0.44" right="0.3" top="0.62" bottom="0.25" header="0.3" footer="0.22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8">
      <c r="A1" s="105" t="s">
        <v>73</v>
      </c>
    </row>
    <row r="4" spans="1:5" ht="14.25">
      <c r="A4" s="104" t="s">
        <v>72</v>
      </c>
      <c r="B4" s="3" t="s">
        <v>75</v>
      </c>
      <c r="C4" s="3"/>
      <c r="D4" s="3"/>
      <c r="E4" s="3"/>
    </row>
    <row r="5" spans="1:5" ht="14.25">
      <c r="A5" s="104" t="s">
        <v>117</v>
      </c>
      <c r="B5" s="3" t="s">
        <v>76</v>
      </c>
      <c r="C5" s="3"/>
      <c r="D5" s="3"/>
      <c r="E5" s="3"/>
    </row>
    <row r="6" spans="1:2" ht="14.25">
      <c r="A6" s="104" t="s">
        <v>74</v>
      </c>
      <c r="B6" s="3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Strathclyde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Kati Svehla</cp:lastModifiedBy>
  <cp:lastPrinted>2010-04-12T09:28:22Z</cp:lastPrinted>
  <dcterms:created xsi:type="dcterms:W3CDTF">2010-03-17T18:07:58Z</dcterms:created>
  <dcterms:modified xsi:type="dcterms:W3CDTF">2010-04-16T14:20:16Z</dcterms:modified>
  <cp:category/>
  <cp:version/>
  <cp:contentType/>
  <cp:contentStatus/>
</cp:coreProperties>
</file>